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7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<sst xmlns="http://schemas.openxmlformats.org/spreadsheetml/2006/main" count="82" uniqueCount="62">
  <si>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Option Positions</t>
  </si>
  <si>
    <t>Trade Date</t>
  </si>
  <si>
    <t>Stock</t>
  </si>
  <si>
    <t>Expiration Month</t>
  </si>
  <si>
    <t>Strike</t>
  </si>
  <si>
    <t># contracts</t>
  </si>
  <si>
    <t>$ needed in reserves after selling put or if I own now</t>
  </si>
  <si>
    <t>Premium after commis</t>
  </si>
  <si>
    <t>Gain Planned</t>
  </si>
  <si>
    <t>months out from exp when sold</t>
  </si>
  <si>
    <t>Annualized Gain</t>
  </si>
  <si>
    <t>Annualized gain based on Account Value, if no losses</t>
  </si>
  <si>
    <t>Example</t>
  </si>
  <si>
    <t>May Call</t>
  </si>
  <si>
    <t>Cash Value</t>
  </si>
  <si>
    <t>Amount on Margin if all are bought</t>
  </si>
  <si>
    <t>to buy all</t>
  </si>
  <si>
    <t>Account Value</t>
  </si>
  <si>
    <t>Potential % of cash backing owned stocks</t>
  </si>
  <si>
    <t>Remaining Cash/Margin to sell puts with</t>
  </si>
  <si>
    <t>per month running avg not counting losses</t>
  </si>
  <si>
    <t>Date of Transaction</t>
  </si>
  <si>
    <t>Current Price</t>
  </si>
  <si>
    <t>Premium</t>
  </si>
  <si>
    <t>Months from expiration</t>
  </si>
  <si>
    <t>% return based on reserves</t>
  </si>
  <si>
    <t xml:space="preserve">$ needed in reserves </t>
  </si>
  <si>
    <t>Cost if excercised</t>
  </si>
  <si>
    <t>Annualized using 2:1 Account Value:Potential Margin</t>
  </si>
  <si>
    <t>Profit</t>
  </si>
  <si>
    <t>% return based on total buy price if no strike</t>
  </si>
  <si>
    <t>Annualized return based on no margin trade if no strike</t>
  </si>
  <si>
    <t>amd</t>
  </si>
  <si>
    <t>iaci</t>
  </si>
  <si>
    <t>thqi</t>
  </si>
  <si>
    <t>pcu</t>
  </si>
  <si>
    <t>pacr</t>
  </si>
  <si>
    <t>aapl</t>
  </si>
  <si>
    <t>MA</t>
  </si>
  <si>
    <t>nyx</t>
  </si>
  <si>
    <t>dlb</t>
  </si>
  <si>
    <t>bmrn</t>
  </si>
  <si>
    <t>fwlt</t>
  </si>
  <si>
    <t>rvbd</t>
  </si>
  <si>
    <t>ati</t>
  </si>
  <si>
    <t>ma</t>
  </si>
  <si>
    <t>csco</t>
  </si>
  <si>
    <t>acl</t>
  </si>
  <si>
    <t>slb</t>
  </si>
  <si>
    <t>cmcsa</t>
  </si>
  <si>
    <t>tpx</t>
  </si>
  <si>
    <t>TPX</t>
  </si>
  <si>
    <t>aa</t>
  </si>
  <si>
    <t>qcom</t>
  </si>
  <si>
    <t>ne</t>
  </si>
  <si>
    <t>ua</t>
  </si>
  <si>
    <t>nov</t>
  </si>
  <si>
    <t>commission per trade</t>
  </si>
  <si>
    <t>commission per contract</t>
  </si>
  <si>
    <t>option exercise commision</t>
  </si>
  <si>
    <t>Columns J and L contain the amounts Ameritrade charges for each trade (9.99) and contract (0.75), these need to be adjusted for your own broker's fees</t>
  </si>
  <si>
    <t>When adding new positions copy each row down to bring the formulas with it and delete this 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</si>
</sst>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2"/>
      <name val="Bookman Old Style"/>
      <family val="1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7" fontId="0" fillId="0" borderId="5" xfId="17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0" fontId="0" fillId="0" borderId="5" xfId="21" applyNumberFormat="1" applyFont="1" applyBorder="1" applyAlignment="1">
      <alignment horizontal="center" vertical="center" wrapText="1"/>
    </xf>
    <xf numFmtId="9" fontId="0" fillId="0" borderId="5" xfId="2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7" fontId="0" fillId="0" borderId="8" xfId="17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0" fontId="0" fillId="0" borderId="8" xfId="21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9" fontId="0" fillId="0" borderId="8" xfId="21" applyBorder="1" applyAlignment="1">
      <alignment horizontal="center"/>
    </xf>
    <xf numFmtId="10" fontId="3" fillId="0" borderId="9" xfId="2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7" fontId="0" fillId="0" borderId="11" xfId="17" applyNumberFormat="1" applyFont="1" applyBorder="1" applyAlignment="1">
      <alignment horizontal="center"/>
    </xf>
    <xf numFmtId="7" fontId="0" fillId="0" borderId="12" xfId="17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7" fontId="0" fillId="0" borderId="14" xfId="17" applyNumberFormat="1" applyFont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6" fontId="0" fillId="0" borderId="8" xfId="0" applyNumberFormat="1" applyFont="1" applyBorder="1" applyAlignment="1">
      <alignment horizontal="center" vertical="center" wrapText="1"/>
    </xf>
    <xf numFmtId="7" fontId="0" fillId="0" borderId="8" xfId="0" applyNumberFormat="1" applyFont="1" applyBorder="1" applyAlignment="1">
      <alignment horizontal="center" vertical="center" wrapText="1"/>
    </xf>
    <xf numFmtId="7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7" fontId="0" fillId="0" borderId="0" xfId="17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7" fontId="0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6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7" fontId="0" fillId="0" borderId="2" xfId="17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7" fontId="0" fillId="0" borderId="2" xfId="17" applyNumberFormat="1" applyFont="1" applyFill="1" applyBorder="1" applyAlignment="1">
      <alignment horizontal="center"/>
    </xf>
    <xf numFmtId="7" fontId="5" fillId="0" borderId="2" xfId="0" applyNumberFormat="1" applyFont="1" applyFill="1" applyBorder="1" applyAlignment="1">
      <alignment horizontal="center"/>
    </xf>
    <xf numFmtId="44" fontId="0" fillId="0" borderId="2" xfId="17" applyFont="1" applyBorder="1" applyAlignment="1">
      <alignment horizontal="center"/>
    </xf>
    <xf numFmtId="164" fontId="0" fillId="0" borderId="2" xfId="21" applyNumberFormat="1" applyFont="1" applyBorder="1" applyAlignment="1">
      <alignment horizontal="center"/>
    </xf>
    <xf numFmtId="164" fontId="5" fillId="0" borderId="3" xfId="21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/>
    </xf>
    <xf numFmtId="7" fontId="0" fillId="0" borderId="5" xfId="17" applyNumberFormat="1" applyFont="1" applyFill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7" fontId="5" fillId="0" borderId="5" xfId="0" applyNumberFormat="1" applyFont="1" applyFill="1" applyBorder="1" applyAlignment="1">
      <alignment horizontal="center"/>
    </xf>
    <xf numFmtId="44" fontId="0" fillId="0" borderId="5" xfId="17" applyFont="1" applyBorder="1" applyAlignment="1">
      <alignment horizontal="center"/>
    </xf>
    <xf numFmtId="164" fontId="0" fillId="0" borderId="5" xfId="21" applyNumberFormat="1" applyFont="1" applyBorder="1" applyAlignment="1">
      <alignment horizontal="center"/>
    </xf>
    <xf numFmtId="164" fontId="5" fillId="0" borderId="6" xfId="21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0" fillId="0" borderId="5" xfId="0" applyNumberFormat="1" applyFont="1" applyFill="1" applyBorder="1" applyAlignment="1">
      <alignment horizontal="center"/>
    </xf>
    <xf numFmtId="164" fontId="0" fillId="0" borderId="5" xfId="21" applyNumberFormat="1" applyFont="1" applyFill="1" applyBorder="1" applyAlignment="1">
      <alignment horizontal="center"/>
    </xf>
    <xf numFmtId="44" fontId="0" fillId="0" borderId="5" xfId="17" applyFont="1" applyFill="1" applyBorder="1" applyAlignment="1">
      <alignment horizontal="center"/>
    </xf>
    <xf numFmtId="164" fontId="5" fillId="0" borderId="6" xfId="21" applyNumberFormat="1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7" fontId="0" fillId="0" borderId="8" xfId="17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0" fontId="0" fillId="0" borderId="8" xfId="0" applyNumberFormat="1" applyFont="1" applyFill="1" applyBorder="1" applyAlignment="1">
      <alignment horizontal="center"/>
    </xf>
    <xf numFmtId="7" fontId="5" fillId="0" borderId="8" xfId="0" applyNumberFormat="1" applyFont="1" applyFill="1" applyBorder="1" applyAlignment="1">
      <alignment horizontal="center"/>
    </xf>
    <xf numFmtId="164" fontId="0" fillId="0" borderId="8" xfId="21" applyNumberFormat="1" applyFont="1" applyFill="1" applyBorder="1" applyAlignment="1">
      <alignment horizontal="center"/>
    </xf>
    <xf numFmtId="44" fontId="0" fillId="0" borderId="8" xfId="17" applyFont="1" applyFill="1" applyBorder="1" applyAlignment="1">
      <alignment horizontal="center"/>
    </xf>
    <xf numFmtId="164" fontId="5" fillId="0" borderId="9" xfId="2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44" fontId="0" fillId="0" borderId="0" xfId="17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140625" style="1" customWidth="1"/>
    <col min="2" max="2" width="11.00390625" style="1" customWidth="1"/>
    <col min="3" max="3" width="10.7109375" style="1" customWidth="1"/>
    <col min="4" max="4" width="12.28125" style="1" bestFit="1" customWidth="1"/>
    <col min="5" max="5" width="12.7109375" style="1" customWidth="1"/>
    <col min="6" max="6" width="13.00390625" style="1" bestFit="1" customWidth="1"/>
    <col min="7" max="7" width="14.57421875" style="1" customWidth="1"/>
    <col min="8" max="8" width="13.57421875" style="1" customWidth="1"/>
    <col min="9" max="9" width="14.00390625" style="1" customWidth="1"/>
    <col min="10" max="10" width="13.00390625" style="1" customWidth="1"/>
    <col min="11" max="11" width="15.7109375" style="101" customWidth="1"/>
    <col min="12" max="12" width="10.7109375" style="1" customWidth="1"/>
    <col min="13" max="13" width="14.421875" style="1" customWidth="1"/>
    <col min="14" max="14" width="12.28125" style="1" bestFit="1" customWidth="1"/>
    <col min="15" max="15" width="12.421875" style="2" bestFit="1" customWidth="1"/>
    <col min="16" max="16" width="11.7109375" style="1" customWidth="1"/>
    <col min="17" max="17" width="13.140625" style="1" bestFit="1" customWidth="1"/>
    <col min="18" max="18" width="11.421875" style="1" bestFit="1" customWidth="1"/>
    <col min="19" max="19" width="9.421875" style="1" bestFit="1" customWidth="1"/>
    <col min="20" max="21" width="9.421875" style="1" customWidth="1"/>
    <col min="22" max="22" width="11.421875" style="1" bestFit="1" customWidth="1"/>
    <col min="23" max="16384" width="9.140625" style="1" customWidth="1"/>
  </cols>
  <sheetData>
    <row r="1" spans="1:11" ht="18.75" thickBo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5" s="6" customFormat="1" ht="7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O2" s="7"/>
    </row>
    <row r="3" spans="1:15" s="6" customFormat="1" ht="12.75">
      <c r="A3" s="8">
        <v>39160</v>
      </c>
      <c r="B3" s="9" t="s">
        <v>12</v>
      </c>
      <c r="C3" s="9" t="s">
        <v>13</v>
      </c>
      <c r="D3" s="10">
        <v>67.5</v>
      </c>
      <c r="E3" s="11">
        <v>1</v>
      </c>
      <c r="F3" s="10">
        <f>E3*100*D3</f>
        <v>6750</v>
      </c>
      <c r="G3" s="10">
        <v>225</v>
      </c>
      <c r="H3" s="12">
        <f>G3/F3</f>
        <v>0.03333333333333333</v>
      </c>
      <c r="I3" s="9">
        <v>2</v>
      </c>
      <c r="J3" s="13">
        <f>(H3*12)/I3</f>
        <v>0.2</v>
      </c>
      <c r="K3" s="14"/>
      <c r="N3" s="7"/>
      <c r="O3" s="7"/>
    </row>
    <row r="4" spans="1:15" s="6" customFormat="1" ht="12.75">
      <c r="A4" s="8"/>
      <c r="B4" s="104" t="s">
        <v>61</v>
      </c>
      <c r="C4" s="9"/>
      <c r="D4" s="10"/>
      <c r="E4" s="11"/>
      <c r="F4" s="10"/>
      <c r="G4" s="10"/>
      <c r="H4" s="12"/>
      <c r="I4" s="9"/>
      <c r="J4" s="13"/>
      <c r="K4" s="14"/>
      <c r="O4" s="7"/>
    </row>
    <row r="5" spans="1:15" s="6" customFormat="1" ht="12.75">
      <c r="A5" s="8"/>
      <c r="B5" s="9"/>
      <c r="C5" s="9"/>
      <c r="D5" s="10"/>
      <c r="E5" s="11"/>
      <c r="F5" s="10"/>
      <c r="G5" s="10"/>
      <c r="H5" s="12"/>
      <c r="I5" s="9"/>
      <c r="J5" s="13"/>
      <c r="K5" s="14"/>
      <c r="M5" s="102" t="s">
        <v>57</v>
      </c>
      <c r="N5" s="103">
        <v>9.99</v>
      </c>
      <c r="O5" s="7"/>
    </row>
    <row r="6" spans="1:15" s="6" customFormat="1" ht="12.75">
      <c r="A6" s="8"/>
      <c r="B6" s="9"/>
      <c r="C6" s="9"/>
      <c r="D6" s="10"/>
      <c r="E6" s="11"/>
      <c r="F6" s="10"/>
      <c r="G6" s="10"/>
      <c r="H6" s="12"/>
      <c r="I6" s="9"/>
      <c r="J6" s="13"/>
      <c r="K6" s="14"/>
      <c r="M6" s="102" t="s">
        <v>58</v>
      </c>
      <c r="N6" s="103">
        <v>0.75</v>
      </c>
      <c r="O6" s="7"/>
    </row>
    <row r="7" spans="1:15" s="6" customFormat="1" ht="12.75">
      <c r="A7" s="8"/>
      <c r="B7" s="9"/>
      <c r="C7" s="9"/>
      <c r="D7" s="10"/>
      <c r="E7" s="11"/>
      <c r="F7" s="10"/>
      <c r="G7" s="10"/>
      <c r="H7" s="12"/>
      <c r="I7" s="9"/>
      <c r="J7" s="13"/>
      <c r="K7" s="14"/>
      <c r="M7" s="102" t="s">
        <v>59</v>
      </c>
      <c r="N7" s="103">
        <v>19.99</v>
      </c>
      <c r="O7" s="7"/>
    </row>
    <row r="8" spans="1:11" s="6" customFormat="1" ht="12.75">
      <c r="A8" s="8"/>
      <c r="B8" s="9"/>
      <c r="C8" s="9"/>
      <c r="D8" s="10"/>
      <c r="E8" s="11"/>
      <c r="F8" s="10"/>
      <c r="G8" s="10"/>
      <c r="H8" s="12"/>
      <c r="I8" s="9"/>
      <c r="J8" s="13"/>
      <c r="K8" s="14"/>
    </row>
    <row r="9" spans="1:15" s="6" customFormat="1" ht="12.75">
      <c r="A9" s="8"/>
      <c r="B9" s="9"/>
      <c r="C9" s="9"/>
      <c r="D9" s="10"/>
      <c r="E9" s="11"/>
      <c r="F9" s="10"/>
      <c r="G9" s="10"/>
      <c r="H9" s="12"/>
      <c r="I9" s="9"/>
      <c r="J9" s="13"/>
      <c r="K9" s="14"/>
      <c r="O9" s="7"/>
    </row>
    <row r="10" spans="1:15" s="6" customFormat="1" ht="12.75">
      <c r="A10" s="8"/>
      <c r="B10" s="9"/>
      <c r="C10" s="9"/>
      <c r="D10" s="10"/>
      <c r="E10" s="11"/>
      <c r="F10" s="10"/>
      <c r="G10" s="10"/>
      <c r="H10" s="12"/>
      <c r="I10" s="9"/>
      <c r="J10" s="13"/>
      <c r="K10" s="14"/>
      <c r="M10" s="7"/>
      <c r="O10" s="7"/>
    </row>
    <row r="11" spans="1:11" s="6" customFormat="1" ht="12" customHeight="1">
      <c r="A11" s="8"/>
      <c r="B11" s="9"/>
      <c r="C11" s="9"/>
      <c r="D11" s="10"/>
      <c r="E11" s="11"/>
      <c r="F11" s="10"/>
      <c r="G11" s="10"/>
      <c r="H11" s="12"/>
      <c r="I11" s="15"/>
      <c r="J11" s="13"/>
      <c r="K11" s="14"/>
    </row>
    <row r="12" spans="1:18" s="18" customFormat="1" ht="12" customHeight="1">
      <c r="A12" s="16"/>
      <c r="B12" s="9"/>
      <c r="C12" s="9"/>
      <c r="D12" s="10"/>
      <c r="E12" s="11"/>
      <c r="F12" s="10"/>
      <c r="G12" s="10"/>
      <c r="H12" s="12"/>
      <c r="I12" s="15"/>
      <c r="J12" s="13"/>
      <c r="K12" s="17"/>
      <c r="M12" s="6"/>
      <c r="N12" s="6"/>
      <c r="O12" s="6"/>
      <c r="P12" s="6"/>
      <c r="Q12" s="6"/>
      <c r="R12" s="6"/>
    </row>
    <row r="13" spans="1:11" s="6" customFormat="1" ht="12" customHeight="1" thickBot="1">
      <c r="A13" s="19"/>
      <c r="B13" s="20"/>
      <c r="C13" s="20"/>
      <c r="D13" s="21"/>
      <c r="E13" s="22" t="s">
        <v>14</v>
      </c>
      <c r="F13" s="21">
        <v>4326</v>
      </c>
      <c r="G13" s="21">
        <f>AVERAGE(G3:G12)</f>
        <v>225</v>
      </c>
      <c r="H13" s="23">
        <f>AVERAGE(H3:H12)</f>
        <v>0.03333333333333333</v>
      </c>
      <c r="I13" s="24">
        <f>AVERAGE(I3:I12)</f>
        <v>2</v>
      </c>
      <c r="J13" s="25">
        <f>(H13*12)/I13</f>
        <v>0.2</v>
      </c>
      <c r="K13" s="26">
        <f>((SUM(G3:G12))/G15)*(12/I13)</f>
        <v>0.031024383786794917</v>
      </c>
    </row>
    <row r="14" spans="1:16" s="6" customFormat="1" ht="48">
      <c r="A14" s="27"/>
      <c r="B14" s="28"/>
      <c r="C14" s="29"/>
      <c r="D14" s="30"/>
      <c r="E14" s="31" t="s">
        <v>15</v>
      </c>
      <c r="F14" s="32" t="s">
        <v>16</v>
      </c>
      <c r="G14" s="32" t="s">
        <v>17</v>
      </c>
      <c r="H14" s="33" t="s">
        <v>18</v>
      </c>
      <c r="I14" s="34" t="s">
        <v>19</v>
      </c>
      <c r="J14" s="35" t="s">
        <v>20</v>
      </c>
      <c r="L14" s="36"/>
      <c r="P14" s="7"/>
    </row>
    <row r="15" spans="1:16" s="6" customFormat="1" ht="13.5" thickBot="1">
      <c r="A15" s="19"/>
      <c r="B15" s="22"/>
      <c r="C15" s="21"/>
      <c r="D15" s="37"/>
      <c r="E15" s="38">
        <f>F15-G15</f>
        <v>-32438.160000000003</v>
      </c>
      <c r="F15" s="21">
        <f>SUM(F3:F13)</f>
        <v>11076</v>
      </c>
      <c r="G15" s="39">
        <v>43514.16</v>
      </c>
      <c r="H15" s="23">
        <f>G15/F15</f>
        <v>3.928689057421452</v>
      </c>
      <c r="I15" s="40">
        <f>(G15/0.4)-F15</f>
        <v>97709.40000000001</v>
      </c>
      <c r="J15" s="41">
        <f>SUM(G3:G11)/I13</f>
        <v>112.5</v>
      </c>
      <c r="L15" s="36"/>
      <c r="P15" s="7"/>
    </row>
    <row r="16" spans="2:16" s="6" customFormat="1" ht="12.75">
      <c r="B16" s="42"/>
      <c r="C16" s="43"/>
      <c r="D16" s="43"/>
      <c r="E16" s="42"/>
      <c r="F16" s="43"/>
      <c r="G16" s="44"/>
      <c r="H16" s="45"/>
      <c r="I16" s="46"/>
      <c r="K16" s="42"/>
      <c r="L16" s="36"/>
      <c r="P16" s="7"/>
    </row>
    <row r="17" spans="2:16" s="6" customFormat="1" ht="12.75">
      <c r="B17" s="42"/>
      <c r="C17" s="43"/>
      <c r="E17" s="42"/>
      <c r="F17" s="42"/>
      <c r="G17" s="42"/>
      <c r="H17" s="42"/>
      <c r="I17" s="42"/>
      <c r="K17" s="42"/>
      <c r="L17" s="36"/>
      <c r="P17" s="7"/>
    </row>
    <row r="18" spans="1:16" s="6" customFormat="1" ht="13.5" thickBot="1">
      <c r="A18" s="51" t="s">
        <v>60</v>
      </c>
      <c r="B18" s="42"/>
      <c r="C18" s="43"/>
      <c r="D18" s="43"/>
      <c r="F18" s="42"/>
      <c r="G18" s="42"/>
      <c r="H18" s="42"/>
      <c r="I18" s="42"/>
      <c r="K18" s="42"/>
      <c r="L18" s="36"/>
      <c r="P18" s="7"/>
    </row>
    <row r="19" spans="1:15" s="52" customFormat="1" ht="84.75" customHeight="1" thickBot="1">
      <c r="A19" s="47" t="s">
        <v>21</v>
      </c>
      <c r="B19" s="48" t="s">
        <v>2</v>
      </c>
      <c r="C19" s="48" t="s">
        <v>22</v>
      </c>
      <c r="D19" s="48" t="s">
        <v>4</v>
      </c>
      <c r="E19" s="48" t="s">
        <v>23</v>
      </c>
      <c r="F19" s="48" t="s">
        <v>5</v>
      </c>
      <c r="G19" s="49" t="s">
        <v>24</v>
      </c>
      <c r="H19" s="48" t="s">
        <v>25</v>
      </c>
      <c r="I19" s="48" t="s">
        <v>26</v>
      </c>
      <c r="J19" s="48" t="s">
        <v>27</v>
      </c>
      <c r="K19" s="48" t="s">
        <v>28</v>
      </c>
      <c r="L19" s="48" t="s">
        <v>29</v>
      </c>
      <c r="M19" s="48" t="s">
        <v>30</v>
      </c>
      <c r="N19" s="50" t="s">
        <v>31</v>
      </c>
      <c r="O19" s="51"/>
    </row>
    <row r="20" spans="1:15" s="52" customFormat="1" ht="12.75">
      <c r="A20" s="53">
        <v>38993</v>
      </c>
      <c r="B20" s="54" t="s">
        <v>32</v>
      </c>
      <c r="C20" s="55">
        <v>24.5</v>
      </c>
      <c r="D20" s="55">
        <v>22.5</v>
      </c>
      <c r="E20" s="55">
        <v>0.6</v>
      </c>
      <c r="F20" s="54">
        <v>2</v>
      </c>
      <c r="G20" s="54">
        <v>0.5</v>
      </c>
      <c r="H20" s="56">
        <f aca="true" t="shared" si="0" ref="H20:H59">((E20*(F20)*100)/I20)</f>
        <v>0.0547945205479452</v>
      </c>
      <c r="I20" s="57">
        <f aca="true" t="shared" si="1" ref="I20:I61">(F20*(D20*(100))-((E20*(100)*F20)))*0.5</f>
        <v>2190</v>
      </c>
      <c r="J20" s="58">
        <f aca="true" t="shared" si="2" ref="J20:J45">(((D20*100*F20)+30)/(F20*100))-(((E20*100-(9.99+(0.75/F20))))/100)</f>
        <v>22.15365</v>
      </c>
      <c r="K20" s="60">
        <f aca="true" t="shared" si="3" ref="K20:K59">(M20*(12/G20))/0.5</f>
        <v>1.15744</v>
      </c>
      <c r="L20" s="59">
        <f aca="true" t="shared" si="4" ref="L20:L45">((E20*F20)*100)-(9.99+F20*0.75)</f>
        <v>108.51</v>
      </c>
      <c r="M20" s="60">
        <f aca="true" t="shared" si="5" ref="M20:M59">L20/(D20*100*F20)</f>
        <v>0.024113333333333334</v>
      </c>
      <c r="N20" s="61">
        <f aca="true" t="shared" si="6" ref="N20:N59">M20*(12/G20)</f>
        <v>0.57872</v>
      </c>
      <c r="O20" s="62"/>
    </row>
    <row r="21" spans="1:15" s="42" customFormat="1" ht="12.75">
      <c r="A21" s="8">
        <v>39007</v>
      </c>
      <c r="B21" s="63" t="s">
        <v>33</v>
      </c>
      <c r="C21" s="64">
        <v>29.75</v>
      </c>
      <c r="D21" s="64">
        <v>30</v>
      </c>
      <c r="E21" s="64">
        <v>1.15</v>
      </c>
      <c r="F21" s="63">
        <v>2</v>
      </c>
      <c r="G21" s="11">
        <v>1</v>
      </c>
      <c r="H21" s="65">
        <f>((E21*(F21)*100)/I21)</f>
        <v>0.07972270363951472</v>
      </c>
      <c r="I21" s="64">
        <f>(F21*(D21*(100))-((E21*(100)*F21)))*0.5</f>
        <v>2885</v>
      </c>
      <c r="J21" s="66">
        <f>(((D21*100*F21)+30)/(F21*100))-(((E21*100-(9.99+(0.75/F21))))/100)</f>
        <v>29.10365</v>
      </c>
      <c r="K21" s="68">
        <f>(M21*(12/G21))/0.5</f>
        <v>0.8740399999999999</v>
      </c>
      <c r="L21" s="67">
        <f>((E21*F21)*100)-(9.99+F21*0.75)</f>
        <v>218.50999999999996</v>
      </c>
      <c r="M21" s="68">
        <f>L21/(D21*100*F21)</f>
        <v>0.03641833333333333</v>
      </c>
      <c r="N21" s="69">
        <f>M21*(12/G21)</f>
        <v>0.43701999999999996</v>
      </c>
      <c r="O21" s="70"/>
    </row>
    <row r="22" spans="1:15" s="52" customFormat="1" ht="12.75">
      <c r="A22" s="8">
        <v>39024</v>
      </c>
      <c r="B22" s="63" t="s">
        <v>34</v>
      </c>
      <c r="C22" s="64">
        <v>30</v>
      </c>
      <c r="D22" s="64">
        <v>30</v>
      </c>
      <c r="E22" s="64">
        <v>1</v>
      </c>
      <c r="F22" s="63">
        <v>2</v>
      </c>
      <c r="G22" s="11">
        <v>1.5</v>
      </c>
      <c r="H22" s="65">
        <f t="shared" si="0"/>
        <v>0.06896551724137931</v>
      </c>
      <c r="I22" s="64">
        <f t="shared" si="1"/>
        <v>2900</v>
      </c>
      <c r="J22" s="66">
        <f t="shared" si="2"/>
        <v>29.253649999999997</v>
      </c>
      <c r="K22" s="68">
        <f t="shared" si="3"/>
        <v>0.5026933333333333</v>
      </c>
      <c r="L22" s="67">
        <f t="shared" si="4"/>
        <v>188.51</v>
      </c>
      <c r="M22" s="68">
        <f t="shared" si="5"/>
        <v>0.03141833333333333</v>
      </c>
      <c r="N22" s="69">
        <f t="shared" si="6"/>
        <v>0.25134666666666666</v>
      </c>
      <c r="O22" s="70"/>
    </row>
    <row r="23" spans="1:15" s="52" customFormat="1" ht="12.75">
      <c r="A23" s="8">
        <v>39041</v>
      </c>
      <c r="B23" s="63" t="s">
        <v>35</v>
      </c>
      <c r="C23" s="64">
        <v>52.28</v>
      </c>
      <c r="D23" s="64">
        <v>52.5</v>
      </c>
      <c r="E23" s="64">
        <v>2</v>
      </c>
      <c r="F23" s="63">
        <v>1</v>
      </c>
      <c r="G23" s="11">
        <v>1</v>
      </c>
      <c r="H23" s="65">
        <f t="shared" si="0"/>
        <v>0.07920792079207921</v>
      </c>
      <c r="I23" s="64">
        <f t="shared" si="1"/>
        <v>2525</v>
      </c>
      <c r="J23" s="66">
        <f t="shared" si="2"/>
        <v>50.907399999999996</v>
      </c>
      <c r="K23" s="68">
        <f t="shared" si="3"/>
        <v>0.8651885714285714</v>
      </c>
      <c r="L23" s="67">
        <f t="shared" si="4"/>
        <v>189.26</v>
      </c>
      <c r="M23" s="68">
        <f t="shared" si="5"/>
        <v>0.03604952380952381</v>
      </c>
      <c r="N23" s="69">
        <f t="shared" si="6"/>
        <v>0.4325942857142857</v>
      </c>
      <c r="O23" s="70"/>
    </row>
    <row r="24" spans="1:15" s="42" customFormat="1" ht="12.75">
      <c r="A24" s="8">
        <v>39043</v>
      </c>
      <c r="B24" s="11" t="s">
        <v>36</v>
      </c>
      <c r="C24" s="10">
        <v>29.43</v>
      </c>
      <c r="D24" s="10">
        <v>30</v>
      </c>
      <c r="E24" s="10">
        <v>1.6</v>
      </c>
      <c r="F24" s="11">
        <v>2</v>
      </c>
      <c r="G24" s="11">
        <v>2</v>
      </c>
      <c r="H24" s="65">
        <f t="shared" si="0"/>
        <v>0.11267605633802817</v>
      </c>
      <c r="I24" s="64">
        <f t="shared" si="1"/>
        <v>2840</v>
      </c>
      <c r="J24" s="66">
        <f t="shared" si="2"/>
        <v>28.65365</v>
      </c>
      <c r="K24" s="68">
        <f t="shared" si="3"/>
        <v>0.6170199999999999</v>
      </c>
      <c r="L24" s="67">
        <f t="shared" si="4"/>
        <v>308.51</v>
      </c>
      <c r="M24" s="68">
        <f t="shared" si="5"/>
        <v>0.05141833333333333</v>
      </c>
      <c r="N24" s="69">
        <f t="shared" si="6"/>
        <v>0.30850999999999995</v>
      </c>
      <c r="O24" s="70"/>
    </row>
    <row r="25" spans="1:15" s="52" customFormat="1" ht="12.75">
      <c r="A25" s="8">
        <v>39050</v>
      </c>
      <c r="B25" s="63" t="s">
        <v>37</v>
      </c>
      <c r="C25" s="64">
        <v>91.85</v>
      </c>
      <c r="D25" s="64">
        <v>90</v>
      </c>
      <c r="E25" s="64">
        <v>4.43</v>
      </c>
      <c r="F25" s="63">
        <v>1</v>
      </c>
      <c r="G25" s="63">
        <v>1.65</v>
      </c>
      <c r="H25" s="71">
        <f t="shared" si="0"/>
        <v>0.10354096061703869</v>
      </c>
      <c r="I25" s="64">
        <f t="shared" si="1"/>
        <v>4278.5</v>
      </c>
      <c r="J25" s="66">
        <f t="shared" si="2"/>
        <v>85.9774</v>
      </c>
      <c r="K25" s="72">
        <f t="shared" si="3"/>
        <v>0.6986020202020202</v>
      </c>
      <c r="L25" s="73">
        <f t="shared" si="4"/>
        <v>432.26</v>
      </c>
      <c r="M25" s="72">
        <f t="shared" si="5"/>
        <v>0.048028888888888885</v>
      </c>
      <c r="N25" s="74">
        <f t="shared" si="6"/>
        <v>0.3493010101010101</v>
      </c>
      <c r="O25" s="70"/>
    </row>
    <row r="26" spans="1:15" s="52" customFormat="1" ht="12.75">
      <c r="A26" s="8">
        <v>39050</v>
      </c>
      <c r="B26" s="63" t="s">
        <v>38</v>
      </c>
      <c r="C26" s="64">
        <v>101.2</v>
      </c>
      <c r="D26" s="64">
        <v>100</v>
      </c>
      <c r="E26" s="64">
        <v>6.1</v>
      </c>
      <c r="F26" s="63">
        <v>1</v>
      </c>
      <c r="G26" s="63">
        <v>1.65</v>
      </c>
      <c r="H26" s="71">
        <f t="shared" si="0"/>
        <v>0.1299254526091587</v>
      </c>
      <c r="I26" s="64">
        <f t="shared" si="1"/>
        <v>4695</v>
      </c>
      <c r="J26" s="66">
        <f t="shared" si="2"/>
        <v>94.3074</v>
      </c>
      <c r="K26" s="72">
        <f t="shared" si="3"/>
        <v>0.8716509090909091</v>
      </c>
      <c r="L26" s="73">
        <f t="shared" si="4"/>
        <v>599.26</v>
      </c>
      <c r="M26" s="72">
        <f t="shared" si="5"/>
        <v>0.059926</v>
      </c>
      <c r="N26" s="69">
        <f t="shared" si="6"/>
        <v>0.43582545454545457</v>
      </c>
      <c r="O26" s="70"/>
    </row>
    <row r="27" spans="1:15" s="52" customFormat="1" ht="12.75">
      <c r="A27" s="8">
        <v>39056</v>
      </c>
      <c r="B27" s="63" t="s">
        <v>39</v>
      </c>
      <c r="C27" s="64">
        <v>100.1</v>
      </c>
      <c r="D27" s="64">
        <v>90</v>
      </c>
      <c r="E27" s="64">
        <v>4.3</v>
      </c>
      <c r="F27" s="63">
        <v>1</v>
      </c>
      <c r="G27" s="63">
        <v>1.5</v>
      </c>
      <c r="H27" s="71">
        <f t="shared" si="0"/>
        <v>0.10035005834305717</v>
      </c>
      <c r="I27" s="64">
        <f t="shared" si="1"/>
        <v>4285</v>
      </c>
      <c r="J27" s="66">
        <f t="shared" si="2"/>
        <v>86.1074</v>
      </c>
      <c r="K27" s="72">
        <f t="shared" si="3"/>
        <v>0.7453511111111111</v>
      </c>
      <c r="L27" s="73">
        <f t="shared" si="4"/>
        <v>419.26</v>
      </c>
      <c r="M27" s="72">
        <f t="shared" si="5"/>
        <v>0.04658444444444444</v>
      </c>
      <c r="N27" s="74">
        <f t="shared" si="6"/>
        <v>0.37267555555555554</v>
      </c>
      <c r="O27" s="70"/>
    </row>
    <row r="28" spans="1:15" s="42" customFormat="1" ht="12.75">
      <c r="A28" s="75">
        <v>39059</v>
      </c>
      <c r="B28" s="11" t="s">
        <v>40</v>
      </c>
      <c r="C28" s="10">
        <v>30.2</v>
      </c>
      <c r="D28" s="10">
        <v>30</v>
      </c>
      <c r="E28" s="10">
        <v>1.4</v>
      </c>
      <c r="F28" s="11">
        <v>2</v>
      </c>
      <c r="G28" s="63">
        <v>1.25</v>
      </c>
      <c r="H28" s="71">
        <f t="shared" si="0"/>
        <v>0.0979020979020979</v>
      </c>
      <c r="I28" s="64">
        <f t="shared" si="1"/>
        <v>2860</v>
      </c>
      <c r="J28" s="66">
        <f t="shared" si="2"/>
        <v>28.85365</v>
      </c>
      <c r="K28" s="72">
        <f t="shared" si="3"/>
        <v>0.8592319999999999</v>
      </c>
      <c r="L28" s="73">
        <f t="shared" si="4"/>
        <v>268.51</v>
      </c>
      <c r="M28" s="72">
        <f t="shared" si="5"/>
        <v>0.04475166666666666</v>
      </c>
      <c r="N28" s="74">
        <f t="shared" si="6"/>
        <v>0.42961599999999994</v>
      </c>
      <c r="O28" s="70"/>
    </row>
    <row r="29" spans="1:15" s="52" customFormat="1" ht="12.75">
      <c r="A29" s="75">
        <v>39062</v>
      </c>
      <c r="B29" s="11" t="s">
        <v>35</v>
      </c>
      <c r="C29" s="10">
        <v>55.68</v>
      </c>
      <c r="D29" s="10">
        <v>55</v>
      </c>
      <c r="E29" s="10">
        <v>1.6</v>
      </c>
      <c r="F29" s="11">
        <v>1</v>
      </c>
      <c r="G29" s="63">
        <v>1.25</v>
      </c>
      <c r="H29" s="71">
        <f t="shared" si="0"/>
        <v>0.0599250936329588</v>
      </c>
      <c r="I29" s="64">
        <f t="shared" si="1"/>
        <v>2670</v>
      </c>
      <c r="J29" s="66">
        <f t="shared" si="2"/>
        <v>53.807399999999994</v>
      </c>
      <c r="K29" s="72">
        <f t="shared" si="3"/>
        <v>0.5210530909090909</v>
      </c>
      <c r="L29" s="73">
        <f t="shared" si="4"/>
        <v>149.26</v>
      </c>
      <c r="M29" s="72">
        <f t="shared" si="5"/>
        <v>0.027138181818181818</v>
      </c>
      <c r="N29" s="74">
        <f t="shared" si="6"/>
        <v>0.26052654545454546</v>
      </c>
      <c r="O29" s="70"/>
    </row>
    <row r="30" spans="1:15" s="42" customFormat="1" ht="12.75">
      <c r="A30" s="8">
        <v>39063</v>
      </c>
      <c r="B30" s="63" t="s">
        <v>41</v>
      </c>
      <c r="C30" s="64">
        <v>17.6</v>
      </c>
      <c r="D30" s="64">
        <v>17.5</v>
      </c>
      <c r="E30" s="64">
        <v>1</v>
      </c>
      <c r="F30" s="63">
        <v>3</v>
      </c>
      <c r="G30" s="63">
        <v>1.2</v>
      </c>
      <c r="H30" s="71">
        <f t="shared" si="0"/>
        <v>0.12121212121212122</v>
      </c>
      <c r="I30" s="64">
        <f t="shared" si="1"/>
        <v>2475</v>
      </c>
      <c r="J30" s="66">
        <f t="shared" si="2"/>
        <v>16.7024</v>
      </c>
      <c r="K30" s="72">
        <f t="shared" si="3"/>
        <v>1.0962285714285713</v>
      </c>
      <c r="L30" s="73">
        <f t="shared" si="4"/>
        <v>287.76</v>
      </c>
      <c r="M30" s="72">
        <f t="shared" si="5"/>
        <v>0.054811428571428567</v>
      </c>
      <c r="N30" s="74">
        <f t="shared" si="6"/>
        <v>0.5481142857142857</v>
      </c>
      <c r="O30" s="70"/>
    </row>
    <row r="31" spans="1:15" s="42" customFormat="1" ht="12.75">
      <c r="A31" s="8">
        <v>39072</v>
      </c>
      <c r="B31" s="63" t="s">
        <v>42</v>
      </c>
      <c r="C31" s="64">
        <v>54.9</v>
      </c>
      <c r="D31" s="64">
        <v>50</v>
      </c>
      <c r="E31" s="64">
        <v>1.35</v>
      </c>
      <c r="F31" s="63">
        <v>1</v>
      </c>
      <c r="G31" s="63">
        <v>1.9</v>
      </c>
      <c r="H31" s="71">
        <f t="shared" si="0"/>
        <v>0.05549845837615622</v>
      </c>
      <c r="I31" s="64">
        <f t="shared" si="1"/>
        <v>2432.5</v>
      </c>
      <c r="J31" s="66">
        <f t="shared" si="2"/>
        <v>49.057399999999994</v>
      </c>
      <c r="K31" s="72">
        <f t="shared" si="3"/>
        <v>0.31392000000000003</v>
      </c>
      <c r="L31" s="73">
        <f t="shared" si="4"/>
        <v>124.26</v>
      </c>
      <c r="M31" s="72">
        <f t="shared" si="5"/>
        <v>0.024852000000000003</v>
      </c>
      <c r="N31" s="74">
        <f t="shared" si="6"/>
        <v>0.15696000000000002</v>
      </c>
      <c r="O31" s="70"/>
    </row>
    <row r="32" spans="1:15" s="42" customFormat="1" ht="12.75">
      <c r="A32" s="8">
        <v>39077</v>
      </c>
      <c r="B32" s="63" t="s">
        <v>43</v>
      </c>
      <c r="C32" s="64">
        <v>31.67</v>
      </c>
      <c r="D32" s="64">
        <v>30</v>
      </c>
      <c r="E32" s="64">
        <v>2</v>
      </c>
      <c r="F32" s="63">
        <v>1</v>
      </c>
      <c r="G32" s="63">
        <v>1.75</v>
      </c>
      <c r="H32" s="71">
        <f t="shared" si="0"/>
        <v>0.14285714285714285</v>
      </c>
      <c r="I32" s="64">
        <f t="shared" si="1"/>
        <v>1400</v>
      </c>
      <c r="J32" s="66">
        <f t="shared" si="2"/>
        <v>28.407400000000003</v>
      </c>
      <c r="K32" s="72">
        <f t="shared" si="3"/>
        <v>0.8651885714285714</v>
      </c>
      <c r="L32" s="73">
        <f t="shared" si="4"/>
        <v>189.26</v>
      </c>
      <c r="M32" s="72">
        <f t="shared" si="5"/>
        <v>0.06308666666666667</v>
      </c>
      <c r="N32" s="74">
        <f t="shared" si="6"/>
        <v>0.4325942857142857</v>
      </c>
      <c r="O32" s="70"/>
    </row>
    <row r="33" spans="1:15" s="42" customFormat="1" ht="12.75">
      <c r="A33" s="75">
        <v>39091</v>
      </c>
      <c r="B33" s="11" t="s">
        <v>39</v>
      </c>
      <c r="C33" s="10">
        <v>104.46</v>
      </c>
      <c r="D33" s="10">
        <v>100</v>
      </c>
      <c r="E33" s="10">
        <v>5.1</v>
      </c>
      <c r="F33" s="11">
        <v>1</v>
      </c>
      <c r="G33" s="63">
        <v>1.45</v>
      </c>
      <c r="H33" s="71">
        <f t="shared" si="0"/>
        <v>0.10748155953635405</v>
      </c>
      <c r="I33" s="64">
        <f t="shared" si="1"/>
        <v>4745</v>
      </c>
      <c r="J33" s="66">
        <f t="shared" si="2"/>
        <v>95.3074</v>
      </c>
      <c r="K33" s="72">
        <f t="shared" si="3"/>
        <v>0.8263613793103447</v>
      </c>
      <c r="L33" s="73">
        <f t="shared" si="4"/>
        <v>499.25999999999993</v>
      </c>
      <c r="M33" s="72">
        <f t="shared" si="5"/>
        <v>0.04992599999999999</v>
      </c>
      <c r="N33" s="74">
        <f t="shared" si="6"/>
        <v>0.41318068965517235</v>
      </c>
      <c r="O33" s="70"/>
    </row>
    <row r="34" spans="1:15" s="42" customFormat="1" ht="12.75">
      <c r="A34" s="75">
        <v>39093</v>
      </c>
      <c r="B34" s="11" t="s">
        <v>37</v>
      </c>
      <c r="C34" s="10">
        <v>95.73</v>
      </c>
      <c r="D34" s="10">
        <v>90</v>
      </c>
      <c r="E34" s="10">
        <v>2.45</v>
      </c>
      <c r="F34" s="11">
        <v>1</v>
      </c>
      <c r="G34" s="63">
        <v>1.3</v>
      </c>
      <c r="H34" s="71">
        <f t="shared" si="0"/>
        <v>0.05596801827527128</v>
      </c>
      <c r="I34" s="64">
        <f t="shared" si="1"/>
        <v>4377.5</v>
      </c>
      <c r="J34" s="66">
        <f t="shared" si="2"/>
        <v>87.95739999999999</v>
      </c>
      <c r="K34" s="72">
        <f t="shared" si="3"/>
        <v>0.4805333333333333</v>
      </c>
      <c r="L34" s="73">
        <f t="shared" si="4"/>
        <v>234.26000000000002</v>
      </c>
      <c r="M34" s="72">
        <f t="shared" si="5"/>
        <v>0.02602888888888889</v>
      </c>
      <c r="N34" s="74">
        <f t="shared" si="6"/>
        <v>0.24026666666666666</v>
      </c>
      <c r="O34" s="70"/>
    </row>
    <row r="35" spans="1:15" s="42" customFormat="1" ht="12.75">
      <c r="A35" s="8">
        <v>39093</v>
      </c>
      <c r="B35" s="63" t="s">
        <v>44</v>
      </c>
      <c r="C35" s="64">
        <v>90.84</v>
      </c>
      <c r="D35" s="64">
        <v>90</v>
      </c>
      <c r="E35" s="64">
        <v>4.5</v>
      </c>
      <c r="F35" s="63">
        <v>1</v>
      </c>
      <c r="G35" s="63">
        <v>1.3</v>
      </c>
      <c r="H35" s="71">
        <f t="shared" si="0"/>
        <v>0.10526315789473684</v>
      </c>
      <c r="I35" s="64">
        <f t="shared" si="1"/>
        <v>4275</v>
      </c>
      <c r="J35" s="66">
        <f t="shared" si="2"/>
        <v>85.9074</v>
      </c>
      <c r="K35" s="72">
        <f t="shared" si="3"/>
        <v>0.9010461538461537</v>
      </c>
      <c r="L35" s="73">
        <f t="shared" si="4"/>
        <v>439.26</v>
      </c>
      <c r="M35" s="72">
        <f t="shared" si="5"/>
        <v>0.048806666666666665</v>
      </c>
      <c r="N35" s="74">
        <f t="shared" si="6"/>
        <v>0.45052307692307686</v>
      </c>
      <c r="O35" s="70"/>
    </row>
    <row r="36" spans="1:15" s="42" customFormat="1" ht="12.75">
      <c r="A36" s="8">
        <v>39094</v>
      </c>
      <c r="B36" s="63" t="s">
        <v>45</v>
      </c>
      <c r="C36" s="64">
        <v>105.05</v>
      </c>
      <c r="D36" s="64">
        <v>100</v>
      </c>
      <c r="E36" s="64">
        <v>3.7</v>
      </c>
      <c r="F36" s="63">
        <v>1</v>
      </c>
      <c r="G36" s="63">
        <v>1.25</v>
      </c>
      <c r="H36" s="71">
        <f t="shared" si="0"/>
        <v>0.07684319833852545</v>
      </c>
      <c r="I36" s="64">
        <f t="shared" si="1"/>
        <v>4815</v>
      </c>
      <c r="J36" s="66">
        <f t="shared" si="2"/>
        <v>96.70739999999999</v>
      </c>
      <c r="K36" s="72">
        <f t="shared" si="3"/>
        <v>0.6897791999999999</v>
      </c>
      <c r="L36" s="73">
        <f t="shared" si="4"/>
        <v>359.26</v>
      </c>
      <c r="M36" s="72">
        <f t="shared" si="5"/>
        <v>0.035926</v>
      </c>
      <c r="N36" s="74">
        <f t="shared" si="6"/>
        <v>0.34488959999999996</v>
      </c>
      <c r="O36" s="70"/>
    </row>
    <row r="37" spans="1:15" s="42" customFormat="1" ht="12.75">
      <c r="A37" s="8">
        <v>39098</v>
      </c>
      <c r="B37" s="63" t="s">
        <v>46</v>
      </c>
      <c r="C37" s="64">
        <v>28.25</v>
      </c>
      <c r="D37" s="64">
        <v>27.5</v>
      </c>
      <c r="E37" s="64">
        <v>0.7</v>
      </c>
      <c r="F37" s="63">
        <v>1</v>
      </c>
      <c r="G37" s="63">
        <v>1.3</v>
      </c>
      <c r="H37" s="71">
        <f t="shared" si="0"/>
        <v>0.05223880597014925</v>
      </c>
      <c r="I37" s="64">
        <f t="shared" si="1"/>
        <v>1340</v>
      </c>
      <c r="J37" s="66">
        <f t="shared" si="2"/>
        <v>27.2074</v>
      </c>
      <c r="K37" s="72">
        <f t="shared" si="3"/>
        <v>0.3978293706293706</v>
      </c>
      <c r="L37" s="73">
        <f t="shared" si="4"/>
        <v>59.26</v>
      </c>
      <c r="M37" s="72">
        <f t="shared" si="5"/>
        <v>0.02154909090909091</v>
      </c>
      <c r="N37" s="74">
        <f t="shared" si="6"/>
        <v>0.1989146853146853</v>
      </c>
      <c r="O37" s="70"/>
    </row>
    <row r="38" spans="1:15" s="42" customFormat="1" ht="12.75">
      <c r="A38" s="8">
        <v>39099</v>
      </c>
      <c r="B38" s="63" t="s">
        <v>46</v>
      </c>
      <c r="C38" s="64">
        <v>27.72</v>
      </c>
      <c r="D38" s="64">
        <v>27.5</v>
      </c>
      <c r="E38" s="64">
        <v>0.8</v>
      </c>
      <c r="F38" s="63">
        <v>2</v>
      </c>
      <c r="G38" s="63">
        <v>1.15</v>
      </c>
      <c r="H38" s="71">
        <f t="shared" si="0"/>
        <v>0.0599250936329588</v>
      </c>
      <c r="I38" s="64">
        <f t="shared" si="1"/>
        <v>2670</v>
      </c>
      <c r="J38" s="66">
        <f t="shared" si="2"/>
        <v>26.95365</v>
      </c>
      <c r="K38" s="72">
        <f t="shared" si="3"/>
        <v>0.5635162055335968</v>
      </c>
      <c r="L38" s="73">
        <f t="shared" si="4"/>
        <v>148.51</v>
      </c>
      <c r="M38" s="72">
        <f t="shared" si="5"/>
        <v>0.02700181818181818</v>
      </c>
      <c r="N38" s="74">
        <f t="shared" si="6"/>
        <v>0.2817581027667984</v>
      </c>
      <c r="O38" s="70"/>
    </row>
    <row r="39" spans="1:15" s="42" customFormat="1" ht="12.75">
      <c r="A39" s="8">
        <v>39099</v>
      </c>
      <c r="B39" s="63" t="s">
        <v>47</v>
      </c>
      <c r="C39" s="64">
        <v>118.1</v>
      </c>
      <c r="D39" s="64">
        <v>115</v>
      </c>
      <c r="E39" s="64">
        <v>2.7</v>
      </c>
      <c r="F39" s="63">
        <v>1</v>
      </c>
      <c r="G39" s="63">
        <v>1.15</v>
      </c>
      <c r="H39" s="71">
        <f t="shared" si="0"/>
        <v>0.04808548530721282</v>
      </c>
      <c r="I39" s="64">
        <f t="shared" si="1"/>
        <v>5615</v>
      </c>
      <c r="J39" s="66">
        <f t="shared" si="2"/>
        <v>112.70739999999999</v>
      </c>
      <c r="K39" s="72">
        <f t="shared" si="3"/>
        <v>0.4704907372400756</v>
      </c>
      <c r="L39" s="73">
        <f t="shared" si="4"/>
        <v>259.26</v>
      </c>
      <c r="M39" s="72">
        <f t="shared" si="5"/>
        <v>0.022544347826086955</v>
      </c>
      <c r="N39" s="74">
        <f t="shared" si="6"/>
        <v>0.2352453686200378</v>
      </c>
      <c r="O39" s="70"/>
    </row>
    <row r="40" spans="1:15" s="42" customFormat="1" ht="12.75">
      <c r="A40" s="8">
        <v>39105</v>
      </c>
      <c r="B40" s="63" t="s">
        <v>35</v>
      </c>
      <c r="C40" s="64">
        <v>56.42</v>
      </c>
      <c r="D40" s="64">
        <v>55</v>
      </c>
      <c r="E40" s="64">
        <v>2.6</v>
      </c>
      <c r="F40" s="63">
        <v>2</v>
      </c>
      <c r="G40" s="63">
        <v>2</v>
      </c>
      <c r="H40" s="71">
        <f t="shared" si="0"/>
        <v>0.09923664122137404</v>
      </c>
      <c r="I40" s="64">
        <f t="shared" si="1"/>
        <v>5240</v>
      </c>
      <c r="J40" s="66">
        <f t="shared" si="2"/>
        <v>52.65365</v>
      </c>
      <c r="K40" s="72">
        <f t="shared" si="3"/>
        <v>0.5547381818181818</v>
      </c>
      <c r="L40" s="73">
        <f t="shared" si="4"/>
        <v>508.51</v>
      </c>
      <c r="M40" s="72">
        <f t="shared" si="5"/>
        <v>0.046228181818181814</v>
      </c>
      <c r="N40" s="74">
        <f t="shared" si="6"/>
        <v>0.2773690909090909</v>
      </c>
      <c r="O40" s="70"/>
    </row>
    <row r="41" spans="1:15" s="42" customFormat="1" ht="12.75">
      <c r="A41" s="8">
        <v>39105</v>
      </c>
      <c r="B41" s="63" t="s">
        <v>48</v>
      </c>
      <c r="C41" s="64">
        <v>63.15</v>
      </c>
      <c r="D41" s="64">
        <v>65</v>
      </c>
      <c r="E41" s="64">
        <v>3.7</v>
      </c>
      <c r="F41" s="63">
        <v>1</v>
      </c>
      <c r="G41" s="63">
        <v>2</v>
      </c>
      <c r="H41" s="71">
        <f t="shared" si="0"/>
        <v>0.12071778140293637</v>
      </c>
      <c r="I41" s="64">
        <f t="shared" si="1"/>
        <v>3065</v>
      </c>
      <c r="J41" s="66">
        <f t="shared" si="2"/>
        <v>61.7074</v>
      </c>
      <c r="K41" s="72">
        <f t="shared" si="3"/>
        <v>0.6632492307692307</v>
      </c>
      <c r="L41" s="73">
        <f t="shared" si="4"/>
        <v>359.26</v>
      </c>
      <c r="M41" s="72">
        <f t="shared" si="5"/>
        <v>0.05527076923076923</v>
      </c>
      <c r="N41" s="74">
        <f t="shared" si="6"/>
        <v>0.33162461538461535</v>
      </c>
      <c r="O41" s="70"/>
    </row>
    <row r="42" spans="1:15" s="42" customFormat="1" ht="12.75">
      <c r="A42" s="8">
        <v>39114</v>
      </c>
      <c r="B42" s="63" t="s">
        <v>41</v>
      </c>
      <c r="C42" s="64">
        <v>19.22</v>
      </c>
      <c r="D42" s="64">
        <v>17.5</v>
      </c>
      <c r="E42" s="64">
        <v>1.15</v>
      </c>
      <c r="F42" s="63">
        <v>3</v>
      </c>
      <c r="G42" s="63">
        <v>1.65</v>
      </c>
      <c r="H42" s="71">
        <f t="shared" si="0"/>
        <v>0.14067278287461774</v>
      </c>
      <c r="I42" s="64">
        <f t="shared" si="1"/>
        <v>2452.5</v>
      </c>
      <c r="J42" s="66">
        <f t="shared" si="2"/>
        <v>16.552400000000002</v>
      </c>
      <c r="K42" s="72">
        <f t="shared" si="3"/>
        <v>0.9219324675324676</v>
      </c>
      <c r="L42" s="73">
        <f t="shared" si="4"/>
        <v>332.76</v>
      </c>
      <c r="M42" s="72">
        <f t="shared" si="5"/>
        <v>0.06338285714285714</v>
      </c>
      <c r="N42" s="74">
        <f t="shared" si="6"/>
        <v>0.4609662337662338</v>
      </c>
      <c r="O42" s="51"/>
    </row>
    <row r="43" spans="1:15" s="42" customFormat="1" ht="12.75">
      <c r="A43" s="8">
        <v>39114</v>
      </c>
      <c r="B43" s="63" t="s">
        <v>40</v>
      </c>
      <c r="C43" s="64">
        <v>32.95</v>
      </c>
      <c r="D43" s="64">
        <v>30</v>
      </c>
      <c r="E43" s="64">
        <v>0.8</v>
      </c>
      <c r="F43" s="63">
        <v>2</v>
      </c>
      <c r="G43" s="63">
        <v>1.65</v>
      </c>
      <c r="H43" s="71">
        <f t="shared" si="0"/>
        <v>0.0547945205479452</v>
      </c>
      <c r="I43" s="64">
        <f t="shared" si="1"/>
        <v>2920</v>
      </c>
      <c r="J43" s="66">
        <f t="shared" si="2"/>
        <v>29.45365</v>
      </c>
      <c r="K43" s="72">
        <f t="shared" si="3"/>
        <v>0.3600242424242424</v>
      </c>
      <c r="L43" s="73">
        <f t="shared" si="4"/>
        <v>148.51</v>
      </c>
      <c r="M43" s="72">
        <f t="shared" si="5"/>
        <v>0.024751666666666665</v>
      </c>
      <c r="N43" s="74">
        <f t="shared" si="6"/>
        <v>0.1800121212121212</v>
      </c>
      <c r="O43" s="76"/>
    </row>
    <row r="44" spans="1:15" s="42" customFormat="1" ht="12.75">
      <c r="A44" s="8">
        <v>39119</v>
      </c>
      <c r="B44" s="63" t="s">
        <v>49</v>
      </c>
      <c r="C44" s="64">
        <f>42.72/3*2</f>
        <v>28.48</v>
      </c>
      <c r="D44" s="64">
        <v>28.375</v>
      </c>
      <c r="E44" s="64">
        <v>0.95</v>
      </c>
      <c r="F44" s="63">
        <v>2</v>
      </c>
      <c r="G44" s="63">
        <v>1.45</v>
      </c>
      <c r="H44" s="71">
        <f t="shared" si="0"/>
        <v>0.06927985414767548</v>
      </c>
      <c r="I44" s="64">
        <f>(F44*(D44*(100))-((E44*(100)*F44)))*0.5</f>
        <v>2742.5</v>
      </c>
      <c r="J44" s="66">
        <f t="shared" si="2"/>
        <v>27.678649999999998</v>
      </c>
      <c r="K44" s="72">
        <f t="shared" si="3"/>
        <v>0.5206428679933162</v>
      </c>
      <c r="L44" s="73">
        <f t="shared" si="4"/>
        <v>178.51</v>
      </c>
      <c r="M44" s="72">
        <f t="shared" si="5"/>
        <v>0.03145550660792951</v>
      </c>
      <c r="N44" s="74">
        <f t="shared" si="6"/>
        <v>0.2603214339966581</v>
      </c>
      <c r="O44" s="70"/>
    </row>
    <row r="45" spans="1:15" s="79" customFormat="1" ht="12.75">
      <c r="A45" s="8">
        <v>39120</v>
      </c>
      <c r="B45" s="63" t="s">
        <v>46</v>
      </c>
      <c r="C45" s="64">
        <v>38.8</v>
      </c>
      <c r="D45" s="64">
        <v>32.5</v>
      </c>
      <c r="E45" s="64">
        <v>3.8</v>
      </c>
      <c r="F45" s="63">
        <v>3</v>
      </c>
      <c r="G45" s="77">
        <v>1.4</v>
      </c>
      <c r="H45" s="71">
        <f>((E45*(F45)*100)/I45)</f>
        <v>0.2648083623693379</v>
      </c>
      <c r="I45" s="64">
        <f>(F45*(D45*(100))-((E45*(100)*F45)))*0.5</f>
        <v>4305</v>
      </c>
      <c r="J45" s="66">
        <f t="shared" si="2"/>
        <v>28.9024</v>
      </c>
      <c r="K45" s="72">
        <f>(M45*(12/G45))/0.5</f>
        <v>1.9828747252747247</v>
      </c>
      <c r="L45" s="73">
        <f t="shared" si="4"/>
        <v>1127.7599999999998</v>
      </c>
      <c r="M45" s="72">
        <f>L45/(D45*100*F45)</f>
        <v>0.11566769230769228</v>
      </c>
      <c r="N45" s="74">
        <f>M45*(12/G45)</f>
        <v>0.9914373626373624</v>
      </c>
      <c r="O45" s="78"/>
    </row>
    <row r="46" spans="1:15" s="79" customFormat="1" ht="12.75">
      <c r="A46" s="8">
        <v>39134</v>
      </c>
      <c r="B46" s="63" t="s">
        <v>50</v>
      </c>
      <c r="C46" s="64">
        <v>26.25</v>
      </c>
      <c r="D46" s="64">
        <v>25</v>
      </c>
      <c r="E46" s="64">
        <v>0.95</v>
      </c>
      <c r="F46" s="63">
        <v>2</v>
      </c>
      <c r="G46" s="77">
        <v>2</v>
      </c>
      <c r="H46" s="71">
        <f>((E46*(F46)*100)/I46)</f>
        <v>0.079002079002079</v>
      </c>
      <c r="I46" s="64">
        <f>(F46*(D46*(100))-((E46*(100)*F46)))*0.5</f>
        <v>2405</v>
      </c>
      <c r="J46" s="66">
        <f>(((D46*100*F46)+30)/(F46*100))-(((E46*100-(9.99+(0.75/F46))))/100)</f>
        <v>24.303649999999998</v>
      </c>
      <c r="K46" s="72">
        <f>(M46*(12/G46))/0.5</f>
        <v>0.42842399999999997</v>
      </c>
      <c r="L46" s="73">
        <f>((E46*F46)*100)-(9.99+F46*0.75)</f>
        <v>178.51</v>
      </c>
      <c r="M46" s="72">
        <f>L46/(D46*100*F46)</f>
        <v>0.035702</v>
      </c>
      <c r="N46" s="74">
        <f>M46*(12/G46)</f>
        <v>0.21421199999999999</v>
      </c>
      <c r="O46" s="80"/>
    </row>
    <row r="47" spans="1:15" s="79" customFormat="1" ht="12.75">
      <c r="A47" s="8">
        <v>39141</v>
      </c>
      <c r="B47" s="63" t="s">
        <v>51</v>
      </c>
      <c r="C47" s="64">
        <v>24.9</v>
      </c>
      <c r="D47" s="64">
        <v>25</v>
      </c>
      <c r="E47" s="64">
        <v>1.45</v>
      </c>
      <c r="F47" s="63">
        <v>2</v>
      </c>
      <c r="G47" s="77">
        <v>1.8</v>
      </c>
      <c r="H47" s="71">
        <f t="shared" si="0"/>
        <v>0.12314225053078556</v>
      </c>
      <c r="I47" s="64">
        <f t="shared" si="1"/>
        <v>2355</v>
      </c>
      <c r="J47" s="66">
        <f aca="true" t="shared" si="7" ref="J47:J61">(((D47*100*F47)+30)/(F47*100))-(((E47*100-(9.99+(0.75/F47))))/100)</f>
        <v>23.803649999999998</v>
      </c>
      <c r="K47" s="72">
        <f t="shared" si="3"/>
        <v>0.7426933333333333</v>
      </c>
      <c r="L47" s="73">
        <f aca="true" t="shared" si="8" ref="L47:L61">((E47*F47)*100)-(9.99+F47*0.75)</f>
        <v>278.51</v>
      </c>
      <c r="M47" s="72">
        <f t="shared" si="5"/>
        <v>0.055702</v>
      </c>
      <c r="N47" s="74">
        <f t="shared" si="6"/>
        <v>0.37134666666666666</v>
      </c>
      <c r="O47" s="78"/>
    </row>
    <row r="48" spans="1:15" s="81" customFormat="1" ht="12.75">
      <c r="A48" s="8">
        <v>39148</v>
      </c>
      <c r="B48" s="63" t="s">
        <v>52</v>
      </c>
      <c r="C48" s="64">
        <v>32.83</v>
      </c>
      <c r="D48" s="64">
        <v>32.5</v>
      </c>
      <c r="E48" s="64">
        <v>1.3</v>
      </c>
      <c r="F48" s="63">
        <v>2</v>
      </c>
      <c r="G48" s="77">
        <v>1.35</v>
      </c>
      <c r="H48" s="71">
        <f t="shared" si="0"/>
        <v>0.08333333333333333</v>
      </c>
      <c r="I48" s="64">
        <f t="shared" si="1"/>
        <v>3120</v>
      </c>
      <c r="J48" s="66">
        <f t="shared" si="7"/>
        <v>31.45365</v>
      </c>
      <c r="K48" s="72">
        <f t="shared" si="3"/>
        <v>0.67968547008547</v>
      </c>
      <c r="L48" s="73">
        <f t="shared" si="8"/>
        <v>248.51</v>
      </c>
      <c r="M48" s="72">
        <f t="shared" si="5"/>
        <v>0.03823230769230769</v>
      </c>
      <c r="N48" s="74">
        <f t="shared" si="6"/>
        <v>0.339842735042735</v>
      </c>
      <c r="O48" s="78"/>
    </row>
    <row r="49" spans="1:15" s="42" customFormat="1" ht="12.75">
      <c r="A49" s="8">
        <v>39149</v>
      </c>
      <c r="B49" s="63" t="s">
        <v>33</v>
      </c>
      <c r="C49" s="64">
        <v>37.55</v>
      </c>
      <c r="D49" s="64">
        <v>37.5</v>
      </c>
      <c r="E49" s="64">
        <v>1.1</v>
      </c>
      <c r="F49" s="63">
        <v>2</v>
      </c>
      <c r="G49" s="77">
        <v>1.3</v>
      </c>
      <c r="H49" s="71">
        <f t="shared" si="0"/>
        <v>0.06043956043956045</v>
      </c>
      <c r="I49" s="64">
        <f>(F49*(D49*(100))-((E49*(100)*F49)))*0.5</f>
        <v>3640</v>
      </c>
      <c r="J49" s="66">
        <f>(((D49*100*F49)+30)/(F49*100))-(((E49*100-(9.99+(0.75/F49))))/100)</f>
        <v>36.65365</v>
      </c>
      <c r="K49" s="72">
        <f t="shared" si="3"/>
        <v>0.5132553846153847</v>
      </c>
      <c r="L49" s="73">
        <f>((E49*F49)*100)-(9.99+F49*0.75)</f>
        <v>208.51000000000002</v>
      </c>
      <c r="M49" s="72">
        <f t="shared" si="5"/>
        <v>0.027801333333333338</v>
      </c>
      <c r="N49" s="74">
        <f t="shared" si="6"/>
        <v>0.25662769230769233</v>
      </c>
      <c r="O49" s="70"/>
    </row>
    <row r="50" spans="1:15" s="82" customFormat="1" ht="12.75" customHeight="1">
      <c r="A50" s="8">
        <v>39149</v>
      </c>
      <c r="B50" s="11" t="s">
        <v>53</v>
      </c>
      <c r="C50" s="10">
        <v>42.01</v>
      </c>
      <c r="D50" s="10">
        <v>40</v>
      </c>
      <c r="E50" s="10">
        <v>0.8</v>
      </c>
      <c r="F50" s="11">
        <v>2</v>
      </c>
      <c r="G50" s="77">
        <v>1.15</v>
      </c>
      <c r="H50" s="71">
        <f t="shared" si="0"/>
        <v>0.04081632653061224</v>
      </c>
      <c r="I50" s="64">
        <f>(F50*(D50*(100))-((E50*(100)*F50)))*0.5</f>
        <v>3920</v>
      </c>
      <c r="J50" s="66">
        <f>(((D50*100*F50)+30)/(F50*100))-(((E50*100-(9.99+(0.75/F50))))/100)</f>
        <v>39.453649999999996</v>
      </c>
      <c r="K50" s="72">
        <f t="shared" si="3"/>
        <v>0.3874173913043478</v>
      </c>
      <c r="L50" s="73">
        <f>((E50*F50)*100)-(9.99+F50*0.75)</f>
        <v>148.51</v>
      </c>
      <c r="M50" s="72">
        <f t="shared" si="5"/>
        <v>0.01856375</v>
      </c>
      <c r="N50" s="74">
        <f t="shared" si="6"/>
        <v>0.1937086956521739</v>
      </c>
      <c r="O50" s="80"/>
    </row>
    <row r="51" spans="1:15" s="81" customFormat="1" ht="12.75" customHeight="1">
      <c r="A51" s="8">
        <v>39149</v>
      </c>
      <c r="B51" s="63" t="s">
        <v>54</v>
      </c>
      <c r="C51" s="64">
        <v>73.21</v>
      </c>
      <c r="D51" s="64">
        <v>67.5</v>
      </c>
      <c r="E51" s="64">
        <v>1.6</v>
      </c>
      <c r="F51" s="63">
        <v>1</v>
      </c>
      <c r="G51" s="77">
        <v>1.25</v>
      </c>
      <c r="H51" s="71">
        <f>((E51*(F51)*100)/I51)</f>
        <v>0.048558421851289835</v>
      </c>
      <c r="I51" s="64">
        <f>(F51*(D51*(100))-((E51*(100)*F51)))*0.5</f>
        <v>3295</v>
      </c>
      <c r="J51" s="66">
        <f>(((D51*100*F51)+30)/(F51*100))-(((E51*100-(9.99+(0.75/F51))))/100)</f>
        <v>66.3074</v>
      </c>
      <c r="K51" s="72">
        <f>(M51*(12/G51))/0.5</f>
        <v>0.4245617777777777</v>
      </c>
      <c r="L51" s="73">
        <f>((E51*F51)*100)-(9.99+F51*0.75)</f>
        <v>149.26</v>
      </c>
      <c r="M51" s="72">
        <f>L51/(D51*100*F51)</f>
        <v>0.02211259259259259</v>
      </c>
      <c r="N51" s="74">
        <f>M51*(12/G51)</f>
        <v>0.21228088888888885</v>
      </c>
      <c r="O51" s="78"/>
    </row>
    <row r="52" spans="1:15" s="83" customFormat="1" ht="12.75" customHeight="1">
      <c r="A52" s="8">
        <v>39176</v>
      </c>
      <c r="B52" s="63" t="s">
        <v>45</v>
      </c>
      <c r="C52" s="64">
        <v>106</v>
      </c>
      <c r="D52" s="64">
        <v>105</v>
      </c>
      <c r="E52" s="64">
        <v>4.7</v>
      </c>
      <c r="F52" s="63">
        <v>1</v>
      </c>
      <c r="G52" s="77">
        <v>1.6</v>
      </c>
      <c r="H52" s="71">
        <f>((E52*(F52)*100)/I52)</f>
        <v>0.09371884346959122</v>
      </c>
      <c r="I52" s="64">
        <f>(F52*(D52*(100))-((E52*(100)*F52)))*0.5</f>
        <v>5015</v>
      </c>
      <c r="J52" s="66">
        <f>(((D52*100*F52)+30)/(F52*100))-(((E52*100-(9.99+(0.75/F52))))/100)</f>
        <v>100.70739999999999</v>
      </c>
      <c r="K52" s="72">
        <f>(M52*(12/G52))/0.5</f>
        <v>0.6560857142857143</v>
      </c>
      <c r="L52" s="73">
        <f>((E52*F52)*100)-(9.99+F52*0.75)</f>
        <v>459.26</v>
      </c>
      <c r="M52" s="72">
        <f>L52/(D52*100*F52)</f>
        <v>0.043739047619047615</v>
      </c>
      <c r="N52" s="74">
        <f>M52*(12/G52)</f>
        <v>0.32804285714285714</v>
      </c>
      <c r="O52" s="70"/>
    </row>
    <row r="53" spans="1:15" s="87" customFormat="1" ht="12.75">
      <c r="A53" s="84"/>
      <c r="B53" s="85" t="s">
        <v>45</v>
      </c>
      <c r="C53" s="64">
        <v>106.65</v>
      </c>
      <c r="D53" s="64">
        <v>100</v>
      </c>
      <c r="E53" s="64">
        <v>3.7</v>
      </c>
      <c r="F53" s="63">
        <v>1</v>
      </c>
      <c r="G53" s="77">
        <v>1.25</v>
      </c>
      <c r="H53" s="71">
        <f t="shared" si="0"/>
        <v>0.07684319833852545</v>
      </c>
      <c r="I53" s="64">
        <f t="shared" si="1"/>
        <v>4815</v>
      </c>
      <c r="J53" s="66">
        <f t="shared" si="7"/>
        <v>96.70739999999999</v>
      </c>
      <c r="K53" s="72">
        <f t="shared" si="3"/>
        <v>0.6897791999999999</v>
      </c>
      <c r="L53" s="73">
        <f t="shared" si="8"/>
        <v>359.26</v>
      </c>
      <c r="M53" s="72">
        <f t="shared" si="5"/>
        <v>0.035926</v>
      </c>
      <c r="N53" s="74">
        <f t="shared" si="6"/>
        <v>0.34488959999999996</v>
      </c>
      <c r="O53" s="86"/>
    </row>
    <row r="54" spans="1:15" s="42" customFormat="1" ht="12.75">
      <c r="A54" s="88"/>
      <c r="B54" s="63" t="s">
        <v>50</v>
      </c>
      <c r="C54" s="64">
        <v>26.51</v>
      </c>
      <c r="D54" s="64">
        <v>25</v>
      </c>
      <c r="E54" s="64">
        <v>0.85</v>
      </c>
      <c r="F54" s="63">
        <v>2</v>
      </c>
      <c r="G54" s="89">
        <v>2</v>
      </c>
      <c r="H54" s="71">
        <f t="shared" si="0"/>
        <v>0.07039337474120083</v>
      </c>
      <c r="I54" s="64">
        <f t="shared" si="1"/>
        <v>2415</v>
      </c>
      <c r="J54" s="66">
        <f>(((D54*100*F54)+30)/(F54*100))-(((E54*100-(9.99+(0.75/F54))))/100)</f>
        <v>24.40365</v>
      </c>
      <c r="K54" s="72">
        <f t="shared" si="3"/>
        <v>0.380424</v>
      </c>
      <c r="L54" s="73">
        <f>((E54*F54)*100)-(9.99+F54*0.75)</f>
        <v>158.51</v>
      </c>
      <c r="M54" s="72">
        <f t="shared" si="5"/>
        <v>0.031702</v>
      </c>
      <c r="N54" s="74">
        <f t="shared" si="6"/>
        <v>0.190212</v>
      </c>
      <c r="O54" s="76"/>
    </row>
    <row r="55" spans="1:15" s="42" customFormat="1" ht="12.75">
      <c r="A55" s="88"/>
      <c r="B55" s="63" t="s">
        <v>50</v>
      </c>
      <c r="C55" s="64">
        <v>26.51</v>
      </c>
      <c r="D55" s="64">
        <v>25</v>
      </c>
      <c r="E55" s="64">
        <v>0.95</v>
      </c>
      <c r="F55" s="63">
        <v>2</v>
      </c>
      <c r="G55" s="89">
        <v>2</v>
      </c>
      <c r="H55" s="71">
        <f>((E55*(F55)*100)/I55)</f>
        <v>0.079002079002079</v>
      </c>
      <c r="I55" s="64">
        <f>(F55*(D55*(100))-((E55*(100)*F55)))*0.5</f>
        <v>2405</v>
      </c>
      <c r="J55" s="66">
        <f>(((D55*100*F55)+30)/(F55*100))-(((E55*100-(9.99+(0.75/F55))))/100)</f>
        <v>24.303649999999998</v>
      </c>
      <c r="K55" s="72">
        <f>(M55*(12/G55))/0.5</f>
        <v>0.42842399999999997</v>
      </c>
      <c r="L55" s="73">
        <f>((E55*F55)*100)-(9.99+F55*0.75)</f>
        <v>178.51</v>
      </c>
      <c r="M55" s="72">
        <f>L55/(D55*100*F55)</f>
        <v>0.035702</v>
      </c>
      <c r="N55" s="74">
        <f>M55*(12/G55)</f>
        <v>0.21421199999999999</v>
      </c>
      <c r="O55" s="76"/>
    </row>
    <row r="56" spans="1:15" s="42" customFormat="1" ht="12.75">
      <c r="A56" s="8"/>
      <c r="B56" s="63" t="s">
        <v>55</v>
      </c>
      <c r="C56" s="64">
        <v>48</v>
      </c>
      <c r="D56" s="64">
        <v>45</v>
      </c>
      <c r="E56" s="64">
        <v>1.2</v>
      </c>
      <c r="F56" s="63">
        <v>1</v>
      </c>
      <c r="G56" s="89">
        <v>2</v>
      </c>
      <c r="H56" s="71">
        <f t="shared" si="0"/>
        <v>0.0547945205479452</v>
      </c>
      <c r="I56" s="64">
        <f t="shared" si="1"/>
        <v>2190</v>
      </c>
      <c r="J56" s="66">
        <f>(((D56*100*F56)+30)/(F56*100))-(((E56*100-(9.99+(0.75/F56))))/100)</f>
        <v>44.2074</v>
      </c>
      <c r="K56" s="72">
        <f t="shared" si="3"/>
        <v>0.29136</v>
      </c>
      <c r="L56" s="73">
        <f>((E56*F56)*100)-(9.99+F56*0.75)</f>
        <v>109.26</v>
      </c>
      <c r="M56" s="72">
        <f t="shared" si="5"/>
        <v>0.02428</v>
      </c>
      <c r="N56" s="74">
        <f t="shared" si="6"/>
        <v>0.14568</v>
      </c>
      <c r="O56" s="70"/>
    </row>
    <row r="57" spans="1:15" s="42" customFormat="1" ht="12.75">
      <c r="A57" s="8"/>
      <c r="B57" s="63" t="s">
        <v>35</v>
      </c>
      <c r="C57" s="64">
        <v>55.56</v>
      </c>
      <c r="D57" s="64">
        <v>55</v>
      </c>
      <c r="E57" s="64">
        <v>3.3</v>
      </c>
      <c r="F57" s="63">
        <v>1</v>
      </c>
      <c r="G57" s="89">
        <v>2</v>
      </c>
      <c r="H57" s="71">
        <f t="shared" si="0"/>
        <v>0.1276595744680851</v>
      </c>
      <c r="I57" s="64">
        <f t="shared" si="1"/>
        <v>2585</v>
      </c>
      <c r="J57" s="66">
        <f t="shared" si="7"/>
        <v>52.1074</v>
      </c>
      <c r="K57" s="72">
        <f t="shared" si="3"/>
        <v>0.6965672727272727</v>
      </c>
      <c r="L57" s="73">
        <f t="shared" si="8"/>
        <v>319.26</v>
      </c>
      <c r="M57" s="72">
        <f t="shared" si="5"/>
        <v>0.058047272727272725</v>
      </c>
      <c r="N57" s="74">
        <f t="shared" si="6"/>
        <v>0.34828363636363635</v>
      </c>
      <c r="O57" s="70"/>
    </row>
    <row r="58" spans="1:15" s="42" customFormat="1" ht="12.75">
      <c r="A58" s="8"/>
      <c r="B58" s="63" t="s">
        <v>46</v>
      </c>
      <c r="C58" s="64">
        <v>38.8</v>
      </c>
      <c r="D58" s="64">
        <v>32.5</v>
      </c>
      <c r="E58" s="64">
        <v>3.8</v>
      </c>
      <c r="F58" s="63">
        <v>3</v>
      </c>
      <c r="G58" s="89">
        <v>1.4</v>
      </c>
      <c r="H58" s="71">
        <f t="shared" si="0"/>
        <v>0.2648083623693379</v>
      </c>
      <c r="I58" s="64">
        <f t="shared" si="1"/>
        <v>4305</v>
      </c>
      <c r="J58" s="66">
        <f t="shared" si="7"/>
        <v>28.9024</v>
      </c>
      <c r="K58" s="72">
        <f t="shared" si="3"/>
        <v>1.9828747252747247</v>
      </c>
      <c r="L58" s="73">
        <f t="shared" si="8"/>
        <v>1127.7599999999998</v>
      </c>
      <c r="M58" s="72">
        <f t="shared" si="5"/>
        <v>0.11566769230769228</v>
      </c>
      <c r="N58" s="74">
        <f t="shared" si="6"/>
        <v>0.9914373626373624</v>
      </c>
      <c r="O58" s="70"/>
    </row>
    <row r="59" spans="1:15" s="42" customFormat="1" ht="12.75">
      <c r="A59" s="90"/>
      <c r="B59" s="63" t="s">
        <v>39</v>
      </c>
      <c r="C59" s="64">
        <v>82.71</v>
      </c>
      <c r="D59" s="64">
        <v>75</v>
      </c>
      <c r="E59" s="64">
        <v>1.9</v>
      </c>
      <c r="F59" s="63">
        <v>1</v>
      </c>
      <c r="G59" s="89">
        <v>1.5</v>
      </c>
      <c r="H59" s="71">
        <f t="shared" si="0"/>
        <v>0.05198358413132695</v>
      </c>
      <c r="I59" s="64">
        <f t="shared" si="1"/>
        <v>3655</v>
      </c>
      <c r="J59" s="66">
        <f t="shared" si="7"/>
        <v>73.5074</v>
      </c>
      <c r="K59" s="72">
        <f t="shared" si="3"/>
        <v>0.38242133333333334</v>
      </c>
      <c r="L59" s="73">
        <f t="shared" si="8"/>
        <v>179.26</v>
      </c>
      <c r="M59" s="72">
        <f t="shared" si="5"/>
        <v>0.023901333333333333</v>
      </c>
      <c r="N59" s="74">
        <f t="shared" si="6"/>
        <v>0.19121066666666667</v>
      </c>
      <c r="O59" s="62"/>
    </row>
    <row r="60" spans="1:15" s="79" customFormat="1" ht="12.75">
      <c r="A60" s="91"/>
      <c r="B60" s="63" t="s">
        <v>39</v>
      </c>
      <c r="C60" s="64">
        <v>82.71</v>
      </c>
      <c r="D60" s="10">
        <v>80</v>
      </c>
      <c r="E60" s="10">
        <v>3.7</v>
      </c>
      <c r="F60" s="11">
        <v>1</v>
      </c>
      <c r="G60" s="89">
        <v>1.5</v>
      </c>
      <c r="H60" s="71">
        <f>((E60*(F60)*100)/I60)</f>
        <v>0.09698558322411534</v>
      </c>
      <c r="I60" s="64">
        <f t="shared" si="1"/>
        <v>3815</v>
      </c>
      <c r="J60" s="66">
        <f t="shared" si="7"/>
        <v>76.70739999999999</v>
      </c>
      <c r="K60" s="72">
        <f>(M60*(12/G60))/0.5</f>
        <v>0.7185199999999999</v>
      </c>
      <c r="L60" s="73">
        <f t="shared" si="8"/>
        <v>359.26</v>
      </c>
      <c r="M60" s="72">
        <f>L60/(D60*100*F60)</f>
        <v>0.044907499999999996</v>
      </c>
      <c r="N60" s="74">
        <f>M60*(12/G60)</f>
        <v>0.35925999999999997</v>
      </c>
      <c r="O60" s="78"/>
    </row>
    <row r="61" spans="1:15" s="42" customFormat="1" ht="13.5" thickBot="1">
      <c r="A61" s="92"/>
      <c r="B61" s="93" t="s">
        <v>56</v>
      </c>
      <c r="C61" s="94">
        <v>67.5</v>
      </c>
      <c r="D61" s="94">
        <v>65</v>
      </c>
      <c r="E61" s="94">
        <v>2.1</v>
      </c>
      <c r="F61" s="93">
        <v>1</v>
      </c>
      <c r="G61" s="95">
        <v>2</v>
      </c>
      <c r="H61" s="96">
        <f>((E61*(F61)*100)/I61)</f>
        <v>0.06677265500794913</v>
      </c>
      <c r="I61" s="94">
        <f t="shared" si="1"/>
        <v>3145</v>
      </c>
      <c r="J61" s="97">
        <f t="shared" si="7"/>
        <v>63.307399999999994</v>
      </c>
      <c r="K61" s="98">
        <f>(M61*(12/G61))/0.5</f>
        <v>0.3678646153846154</v>
      </c>
      <c r="L61" s="99">
        <f t="shared" si="8"/>
        <v>199.26</v>
      </c>
      <c r="M61" s="98">
        <f>L61/(D61*100*F61)</f>
        <v>0.030655384615384616</v>
      </c>
      <c r="N61" s="100">
        <f>M61*(12/G61)</f>
        <v>0.1839323076923077</v>
      </c>
      <c r="O61" s="70"/>
    </row>
    <row r="62" ht="12.75">
      <c r="K62" s="105"/>
    </row>
    <row r="63" ht="12.75">
      <c r="K63" s="105"/>
    </row>
    <row r="64" ht="12.75">
      <c r="K64" s="105"/>
    </row>
    <row r="65" ht="12.75">
      <c r="K65" s="105"/>
    </row>
    <row r="66" ht="12.75">
      <c r="K66" s="105"/>
    </row>
    <row r="67" ht="12.75">
      <c r="K67" s="105"/>
    </row>
    <row r="68" ht="12.75">
      <c r="K68" s="105"/>
    </row>
    <row r="69" ht="12.75">
      <c r="K69" s="105"/>
    </row>
    <row r="70" ht="12.75">
      <c r="K70" s="105"/>
    </row>
    <row r="71" ht="12.75">
      <c r="K71" s="105"/>
    </row>
    <row r="72" ht="12.75">
      <c r="K72" s="105"/>
    </row>
    <row r="73" ht="12.75">
      <c r="K73" s="105"/>
    </row>
    <row r="74" ht="12.75">
      <c r="K74" s="105"/>
    </row>
    <row r="75" ht="12.75">
      <c r="K75" s="105"/>
    </row>
    <row r="76" ht="12.75">
      <c r="K76" s="105"/>
    </row>
    <row r="77" ht="12.75">
      <c r="K77" s="105"/>
    </row>
    <row r="78" ht="12.75">
      <c r="K78" s="105"/>
    </row>
    <row r="79" ht="12.75">
      <c r="K79" s="105"/>
    </row>
    <row r="80" ht="12.75">
      <c r="K80" s="105"/>
    </row>
    <row r="81" ht="12.75">
      <c r="K81" s="105"/>
    </row>
    <row r="82" ht="12.75">
      <c r="K82" s="105"/>
    </row>
    <row r="83" ht="12.75">
      <c r="K83" s="105"/>
    </row>
    <row r="84" ht="12.75">
      <c r="K84" s="105"/>
    </row>
    <row r="85" ht="12.75">
      <c r="K85" s="105"/>
    </row>
    <row r="86" ht="12.75">
      <c r="K86" s="105"/>
    </row>
    <row r="87" ht="12.75">
      <c r="K87" s="105"/>
    </row>
    <row r="88" ht="12.75">
      <c r="K88" s="105"/>
    </row>
    <row r="89" ht="12.75">
      <c r="K89" s="105"/>
    </row>
    <row r="90" ht="12.75">
      <c r="K90" s="105"/>
    </row>
    <row r="91" ht="12.75">
      <c r="K91" s="105"/>
    </row>
    <row r="92" ht="12.75">
      <c r="K92" s="105"/>
    </row>
    <row r="93" ht="12.75">
      <c r="K93" s="105"/>
    </row>
    <row r="94" ht="12.75">
      <c r="K94" s="105"/>
    </row>
    <row r="95" ht="12.75">
      <c r="K95" s="105"/>
    </row>
    <row r="96" ht="12.75">
      <c r="K96" s="105"/>
    </row>
    <row r="97" ht="12.75">
      <c r="K97" s="105"/>
    </row>
    <row r="98" ht="12.75">
      <c r="K98" s="105"/>
    </row>
    <row r="99" ht="12.75">
      <c r="K99" s="105"/>
    </row>
    <row r="100" ht="12.75">
      <c r="K100" s="105"/>
    </row>
    <row r="101" ht="12.75">
      <c r="K101" s="105"/>
    </row>
    <row r="102" ht="12.75">
      <c r="K102" s="105"/>
    </row>
    <row r="103" ht="12.75">
      <c r="K103" s="105"/>
    </row>
    <row r="104" ht="12.75">
      <c r="K104" s="105"/>
    </row>
    <row r="105" ht="12.75">
      <c r="K105" s="105"/>
    </row>
    <row r="106" ht="12.75">
      <c r="K106" s="105"/>
    </row>
    <row r="107" ht="12.75">
      <c r="K107" s="105"/>
    </row>
    <row r="108" ht="12.75">
      <c r="K108" s="105"/>
    </row>
    <row r="109" ht="12.75">
      <c r="K109" s="105"/>
    </row>
    <row r="110" ht="12.75">
      <c r="K110" s="105"/>
    </row>
    <row r="111" ht="12.75">
      <c r="K111" s="105"/>
    </row>
    <row r="112" ht="12.75">
      <c r="K112" s="105"/>
    </row>
    <row r="113" ht="12.75">
      <c r="K113" s="105"/>
    </row>
    <row r="114" ht="12.75">
      <c r="K114" s="105"/>
    </row>
    <row r="115" ht="12.75">
      <c r="K115" s="105"/>
    </row>
    <row r="116" ht="12.75">
      <c r="K116" s="105"/>
    </row>
  </sheetData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mytradersjournal.com</Company>
  <HyperlinkBase>www.mytradersjournal.com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ROI.xls</dc:title>
  <dc:subject/>
  <dc:creator>The Trader</dc:creator>
  <cp:keywords/>
  <dc:description>email me at TheTrader@mytradersjournal.com or post a comment on my blog.</dc:description>
  <cp:lastModifiedBy> </cp:lastModifiedBy>
  <dcterms:created xsi:type="dcterms:W3CDTF">2007-04-20T14:35:54Z</dcterms:created>
  <dcterms:modified xsi:type="dcterms:W3CDTF">2008-08-06T16:51:46Z</dcterms:modified>
  <cp:category/>
  <cp:version/>
  <cp:contentType/>
  <cp:contentStatus/>
</cp:coreProperties>
</file>